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２表 死亡数・死亡率（年齢階級・年次別）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<sst xmlns="http://schemas.openxmlformats.org/spreadsheetml/2006/main" count="98" uniqueCount="48">
  <si>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</si>
  <si>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</si>
  <si>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</si>
  <si>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</si>
  <si>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</si>
  <si>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</si>
  <si>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</si>
  <si>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</si>
  <si>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</si>
  <si>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</si>
  <si>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</si>
  <si>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</si>
  <si>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</si>
  <si>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</si>
  <si>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</si>
  <si>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</si>
  <si>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</si>
  <si>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</si>
  <si>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</si>
  <si>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</si>
  <si>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</si>
  <si>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</si>
  <si>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</si>
  <si>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</si>
  <si>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</si>
  <si>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</si>
  <si>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</si>
  <si>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</si>
  <si>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</si>
  <si>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</si>
  <si>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</si>
  <si>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</si>
  <si>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</si>
  <si>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</si>
  <si>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</si>
  <si>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</si>
  <si>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</si>
  <si>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</si>
  <si>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</si>
  <si>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</si>
  <si>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</si>
  <si>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</si>
  <si>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</si>
  <si>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</si>
  <si>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昭和
50</t>
  </si>
  <si>
    <t>昭和
55</t>
  </si>
  <si>
    <t>平成29年</t>
  </si>
  <si>
    <t>注）　率算出に用いた人口は、「平成29年版熊本県の人口（県地域振興局統計調査課）」。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</si>
</sst>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49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2" xfId="0" applyNumberFormat="1" applyFont="1" applyFill="1" applyBorder="1" applyAlignment="1">
      <alignment vertical="center"/>
    </xf>
    <xf numFmtId="227" fontId="4" fillId="0" borderId="53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horizontal="center" vertical="center" wrapText="1"/>
    </xf>
    <xf numFmtId="0" fontId="8" fillId="0" borderId="41" xfId="0" applyFont="1" applyFill="1" applyBorder="1" applyAlignment="1">
      <alignment horizontal="right"/>
    </xf>
    <xf numFmtId="0" fontId="4" fillId="0" borderId="48" xfId="0" applyFont="1" applyFill="1" applyBorder="1" applyAlignment="1" quotePrefix="1">
      <alignment horizontal="centerContinuous" vertical="center"/>
    </xf>
    <xf numFmtId="223" fontId="4" fillId="0" borderId="54" xfId="0" applyNumberFormat="1" applyFont="1" applyFill="1" applyBorder="1" applyAlignment="1">
      <alignment vertical="center"/>
    </xf>
    <xf numFmtId="223" fontId="4" fillId="0" borderId="51" xfId="0" applyNumberFormat="1" applyFont="1" applyFill="1" applyBorder="1" applyAlignment="1">
      <alignment vertical="center"/>
    </xf>
    <xf numFmtId="223" fontId="4" fillId="0" borderId="50" xfId="0" applyNumberFormat="1" applyFont="1" applyFill="1" applyBorder="1" applyAlignment="1">
      <alignment vertical="center"/>
    </xf>
    <xf numFmtId="223" fontId="4" fillId="0" borderId="55" xfId="0" applyNumberFormat="1" applyFont="1" applyFill="1" applyBorder="1" applyAlignment="1">
      <alignment vertical="center"/>
    </xf>
    <xf numFmtId="223" fontId="4" fillId="0" borderId="56" xfId="0" applyNumberFormat="1" applyFont="1" applyFill="1" applyBorder="1" applyAlignment="1">
      <alignment vertical="center"/>
    </xf>
    <xf numFmtId="223" fontId="4" fillId="0" borderId="5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361950</xdr:colOff>
      <xdr:row>52</xdr:row>
      <xdr:rowOff>142875</xdr:rowOff>
    </xdr:from>
    <xdr:to>
      <xdr:col>27</xdr:col>
      <xdr:colOff>476250</xdr:colOff>
      <xdr:row>53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3249275" y="153066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4"/>
  <sheetViews>
    <sheetView tabSelected="1" view="pageBreakPreview" zoomScale="80" zoomScaleNormal="75" zoomScaleSheetLayoutView="80" zoomScalePageLayoutView="0" workbookViewId="0" topLeftCell="A1">
      <pane xSplit="3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E9" sqref="AE9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6" width="8.625" style="1" hidden="1" customWidth="1"/>
    <col min="7" max="27" width="8.625" style="1" bestFit="1" customWidth="1"/>
    <col min="28" max="28" width="8.625" style="101" bestFit="1" customWidth="1"/>
    <col min="29" max="29" width="11.00390625" style="1" bestFit="1" customWidth="1"/>
    <col min="30" max="16384" width="9.00390625" style="1" customWidth="1"/>
  </cols>
  <sheetData>
    <row r="1" spans="2:28" ht="27" customHeight="1" thickBot="1">
      <c r="B1" s="6" t="s">
        <v>39</v>
      </c>
      <c r="T1" s="84"/>
      <c r="U1" s="84"/>
      <c r="V1" s="85"/>
      <c r="W1" s="84"/>
      <c r="X1" s="84"/>
      <c r="Y1" s="84"/>
      <c r="Z1" s="84"/>
      <c r="AA1" s="84"/>
      <c r="AB1" s="93" t="s">
        <v>46</v>
      </c>
    </row>
    <row r="2" spans="2:28" ht="30" customHeight="1">
      <c r="B2" s="7" t="s">
        <v>0</v>
      </c>
      <c r="C2" s="8" t="s">
        <v>1</v>
      </c>
      <c r="D2" s="18" t="s">
        <v>41</v>
      </c>
      <c r="E2" s="18" t="s">
        <v>43</v>
      </c>
      <c r="F2" s="92" t="s">
        <v>44</v>
      </c>
      <c r="G2" s="92" t="s">
        <v>45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77">
        <v>20</v>
      </c>
      <c r="T2" s="77">
        <v>21</v>
      </c>
      <c r="U2" s="77">
        <v>22</v>
      </c>
      <c r="V2" s="77">
        <v>23</v>
      </c>
      <c r="W2" s="77">
        <v>24</v>
      </c>
      <c r="X2" s="77">
        <v>25</v>
      </c>
      <c r="Y2" s="77">
        <v>26</v>
      </c>
      <c r="Z2" s="77">
        <v>27</v>
      </c>
      <c r="AA2" s="77">
        <v>28</v>
      </c>
      <c r="AB2" s="94">
        <v>29</v>
      </c>
    </row>
    <row r="3" spans="2:28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22">
        <v>20237</v>
      </c>
      <c r="Y3" s="22">
        <v>20461</v>
      </c>
      <c r="Z3" s="22">
        <v>20692</v>
      </c>
      <c r="AA3" s="22">
        <v>21379</v>
      </c>
      <c r="AB3" s="95">
        <v>21588</v>
      </c>
    </row>
    <row r="4" spans="2:28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24">
        <v>39</v>
      </c>
      <c r="X4" s="24">
        <v>41</v>
      </c>
      <c r="Y4" s="24">
        <v>25</v>
      </c>
      <c r="Z4" s="24">
        <v>19</v>
      </c>
      <c r="AA4" s="24">
        <v>29</v>
      </c>
      <c r="AB4" s="96">
        <v>24</v>
      </c>
    </row>
    <row r="5" spans="2:28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26">
        <v>12</v>
      </c>
      <c r="X5" s="26">
        <v>13</v>
      </c>
      <c r="Y5" s="26">
        <v>13</v>
      </c>
      <c r="Z5" s="26">
        <v>17</v>
      </c>
      <c r="AA5" s="26">
        <v>16</v>
      </c>
      <c r="AB5" s="97">
        <v>9</v>
      </c>
    </row>
    <row r="6" spans="2:28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27">
        <v>51</v>
      </c>
      <c r="X6" s="27">
        <v>54</v>
      </c>
      <c r="Y6" s="27">
        <v>38</v>
      </c>
      <c r="Z6" s="27">
        <v>36</v>
      </c>
      <c r="AA6" s="27">
        <v>45</v>
      </c>
      <c r="AB6" s="98">
        <v>33</v>
      </c>
    </row>
    <row r="7" spans="2:28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24">
        <v>7</v>
      </c>
      <c r="X7" s="24">
        <v>7</v>
      </c>
      <c r="Y7" s="24">
        <v>7</v>
      </c>
      <c r="Z7" s="24">
        <v>6</v>
      </c>
      <c r="AA7" s="24">
        <v>5</v>
      </c>
      <c r="AB7" s="96">
        <v>8</v>
      </c>
    </row>
    <row r="8" spans="2:28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24">
        <v>10</v>
      </c>
      <c r="X8" s="24">
        <v>7</v>
      </c>
      <c r="Y8" s="24">
        <v>8</v>
      </c>
      <c r="Z8" s="24">
        <v>8</v>
      </c>
      <c r="AA8" s="24">
        <v>3</v>
      </c>
      <c r="AB8" s="96">
        <v>1</v>
      </c>
    </row>
    <row r="9" spans="2:28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24">
        <v>15</v>
      </c>
      <c r="X9" s="24">
        <v>18</v>
      </c>
      <c r="Y9" s="24">
        <v>14</v>
      </c>
      <c r="Z9" s="24">
        <v>17</v>
      </c>
      <c r="AA9" s="24">
        <v>17</v>
      </c>
      <c r="AB9" s="96">
        <v>11</v>
      </c>
    </row>
    <row r="10" spans="2:28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24">
        <v>34</v>
      </c>
      <c r="X10" s="24">
        <v>26</v>
      </c>
      <c r="Y10" s="24">
        <v>26</v>
      </c>
      <c r="Z10" s="24">
        <v>26</v>
      </c>
      <c r="AA10" s="24">
        <v>27</v>
      </c>
      <c r="AB10" s="96">
        <v>30</v>
      </c>
    </row>
    <row r="11" spans="2:28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24">
        <v>45</v>
      </c>
      <c r="X11" s="24">
        <v>40</v>
      </c>
      <c r="Y11" s="24">
        <v>37</v>
      </c>
      <c r="Z11" s="24">
        <v>27</v>
      </c>
      <c r="AA11" s="24">
        <v>35</v>
      </c>
      <c r="AB11" s="96">
        <v>37</v>
      </c>
    </row>
    <row r="12" spans="2:28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24">
        <v>56</v>
      </c>
      <c r="X12" s="24">
        <v>50</v>
      </c>
      <c r="Y12" s="24">
        <v>48</v>
      </c>
      <c r="Z12" s="24">
        <v>58</v>
      </c>
      <c r="AA12" s="24">
        <v>48</v>
      </c>
      <c r="AB12" s="96">
        <v>41</v>
      </c>
    </row>
    <row r="13" spans="2:28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24">
        <v>81</v>
      </c>
      <c r="X13" s="24">
        <v>73</v>
      </c>
      <c r="Y13" s="24">
        <v>76</v>
      </c>
      <c r="Z13" s="24">
        <v>80</v>
      </c>
      <c r="AA13" s="24">
        <v>75</v>
      </c>
      <c r="AB13" s="96">
        <v>53</v>
      </c>
    </row>
    <row r="14" spans="2:28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24">
        <v>123</v>
      </c>
      <c r="X14" s="24">
        <v>106</v>
      </c>
      <c r="Y14" s="24">
        <v>101</v>
      </c>
      <c r="Z14" s="24">
        <v>108</v>
      </c>
      <c r="AA14" s="24">
        <v>115</v>
      </c>
      <c r="AB14" s="96">
        <v>116</v>
      </c>
    </row>
    <row r="15" spans="2:28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24">
        <v>182</v>
      </c>
      <c r="X15" s="24">
        <v>172</v>
      </c>
      <c r="Y15" s="24">
        <v>188</v>
      </c>
      <c r="Z15" s="24">
        <v>172</v>
      </c>
      <c r="AA15" s="24">
        <v>166</v>
      </c>
      <c r="AB15" s="96">
        <v>161</v>
      </c>
    </row>
    <row r="16" spans="2:28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24">
        <v>309</v>
      </c>
      <c r="X16" s="24">
        <v>277</v>
      </c>
      <c r="Y16" s="24">
        <v>270</v>
      </c>
      <c r="Z16" s="24">
        <v>266</v>
      </c>
      <c r="AA16" s="24">
        <v>272</v>
      </c>
      <c r="AB16" s="96">
        <v>219</v>
      </c>
    </row>
    <row r="17" spans="2:28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24">
        <v>521</v>
      </c>
      <c r="X17" s="24">
        <v>478</v>
      </c>
      <c r="Y17" s="24">
        <v>465</v>
      </c>
      <c r="Z17" s="24">
        <v>424</v>
      </c>
      <c r="AA17" s="24">
        <v>385</v>
      </c>
      <c r="AB17" s="96">
        <v>406</v>
      </c>
    </row>
    <row r="18" spans="2:28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24">
        <v>944</v>
      </c>
      <c r="X18" s="24">
        <v>849</v>
      </c>
      <c r="Y18" s="24">
        <v>849</v>
      </c>
      <c r="Z18" s="24">
        <v>739</v>
      </c>
      <c r="AA18" s="24">
        <v>755</v>
      </c>
      <c r="AB18" s="96">
        <v>705</v>
      </c>
    </row>
    <row r="19" spans="2:28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24">
        <v>1000</v>
      </c>
      <c r="X19" s="24">
        <v>951</v>
      </c>
      <c r="Y19" s="24">
        <v>1110</v>
      </c>
      <c r="Z19" s="24">
        <v>1154</v>
      </c>
      <c r="AA19" s="24">
        <v>1291</v>
      </c>
      <c r="AB19" s="96">
        <v>1293</v>
      </c>
    </row>
    <row r="20" spans="2:31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24">
        <v>1406</v>
      </c>
      <c r="X20" s="24">
        <v>1326</v>
      </c>
      <c r="Y20" s="24">
        <v>1357</v>
      </c>
      <c r="Z20" s="24">
        <v>1400</v>
      </c>
      <c r="AA20" s="24">
        <v>1239</v>
      </c>
      <c r="AB20" s="96">
        <v>1330</v>
      </c>
      <c r="AD20" s="28"/>
      <c r="AE20" s="28"/>
    </row>
    <row r="21" spans="2:31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24">
        <v>2411</v>
      </c>
      <c r="X21" s="24">
        <v>2297</v>
      </c>
      <c r="Y21" s="24">
        <v>2139</v>
      </c>
      <c r="Z21" s="24">
        <v>2103</v>
      </c>
      <c r="AA21" s="24">
        <v>2093</v>
      </c>
      <c r="AB21" s="96">
        <v>2005</v>
      </c>
      <c r="AE21" s="28"/>
    </row>
    <row r="22" spans="2:28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24">
        <v>3663</v>
      </c>
      <c r="X22" s="24">
        <v>3537</v>
      </c>
      <c r="Y22" s="24">
        <v>3516</v>
      </c>
      <c r="Z22" s="24">
        <v>3511</v>
      </c>
      <c r="AA22" s="24">
        <v>3471</v>
      </c>
      <c r="AB22" s="96">
        <v>3375</v>
      </c>
    </row>
    <row r="23" spans="2:28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24">
        <v>9707</v>
      </c>
      <c r="X23" s="24">
        <v>9969</v>
      </c>
      <c r="Y23" s="24">
        <v>10211</v>
      </c>
      <c r="Z23" s="24">
        <v>10556</v>
      </c>
      <c r="AA23" s="24">
        <v>11337</v>
      </c>
      <c r="AB23" s="96">
        <v>11764</v>
      </c>
    </row>
    <row r="24" spans="2:30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32">
        <v>4305</v>
      </c>
      <c r="X24" s="32">
        <v>4328</v>
      </c>
      <c r="Y24" s="32">
        <v>4444</v>
      </c>
      <c r="Z24" s="32">
        <v>4519</v>
      </c>
      <c r="AA24" s="32">
        <v>4612</v>
      </c>
      <c r="AB24" s="99">
        <v>4794</v>
      </c>
      <c r="AD24" s="28"/>
    </row>
    <row r="25" spans="2:28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24">
        <v>3295</v>
      </c>
      <c r="X25" s="24">
        <v>3403</v>
      </c>
      <c r="Y25" s="24">
        <v>3576</v>
      </c>
      <c r="Z25" s="24">
        <v>3695</v>
      </c>
      <c r="AA25" s="24">
        <v>4171</v>
      </c>
      <c r="AB25" s="96">
        <v>4191</v>
      </c>
    </row>
    <row r="26" spans="2:28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24">
        <v>1693</v>
      </c>
      <c r="X26" s="24">
        <v>1740</v>
      </c>
      <c r="Y26" s="24">
        <v>1683</v>
      </c>
      <c r="Z26" s="24">
        <v>1836</v>
      </c>
      <c r="AA26" s="24">
        <v>1965</v>
      </c>
      <c r="AB26" s="96">
        <v>2178</v>
      </c>
    </row>
    <row r="27" spans="2:28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36">
        <v>414</v>
      </c>
      <c r="X27" s="36">
        <v>498</v>
      </c>
      <c r="Y27" s="36">
        <v>508</v>
      </c>
      <c r="Z27" s="36">
        <v>506</v>
      </c>
      <c r="AA27" s="36">
        <v>589</v>
      </c>
      <c r="AB27" s="100">
        <v>601</v>
      </c>
    </row>
    <row r="28" spans="2:28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86">
        <f>(U3*1000)/1809626</f>
        <v>10.61932134043167</v>
      </c>
      <c r="V28" s="86">
        <f>(V3*1000)/1812502</f>
        <v>11.038884370886212</v>
      </c>
      <c r="W28" s="86">
        <f>(W3*1000)/1807201</f>
        <v>11.379475774969137</v>
      </c>
      <c r="X28" s="86">
        <f>(X3*1000)/1801495</f>
        <v>11.233447775319943</v>
      </c>
      <c r="Y28" s="86">
        <f>(Y3*1000)/1794623</f>
        <v>11.401280380336148</v>
      </c>
      <c r="Z28" s="86">
        <f>(Z3*1000)/1786170</f>
        <v>11.584563619364339</v>
      </c>
      <c r="AA28" s="86">
        <f>(AA3*1000)/1774538</f>
        <v>12.047642823089728</v>
      </c>
      <c r="AB28" s="78">
        <f>(AB3*1000)/1765518</f>
        <v>12.227572870964782</v>
      </c>
    </row>
    <row r="29" spans="2:28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87">
        <f>(U4*1000)/15714</f>
        <v>2.6727758686521574</v>
      </c>
      <c r="V29" s="87">
        <f>(V4*1000)/16212</f>
        <v>1.912163829262275</v>
      </c>
      <c r="W29" s="87">
        <f>(W4*1000)/15999</f>
        <v>2.4376523532720795</v>
      </c>
      <c r="X29" s="87">
        <f>(X4*1000)/16223</f>
        <v>2.527276089502558</v>
      </c>
      <c r="Y29" s="87">
        <f>(Y4*1000)/15507</f>
        <v>1.6121751467079384</v>
      </c>
      <c r="Z29" s="87">
        <f>(Z4*1000)/14733</f>
        <v>1.2896219371478992</v>
      </c>
      <c r="AA29" s="87">
        <f>(AA4*1000)/15205</f>
        <v>1.907267346267675</v>
      </c>
      <c r="AB29" s="79">
        <f>(AB4*1000)/14590</f>
        <v>1.6449623029472242</v>
      </c>
    </row>
    <row r="30" spans="2:28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88">
        <f>(U5*1000)/63276</f>
        <v>0.2686642644920665</v>
      </c>
      <c r="V30" s="88">
        <f>(V5*1000)/64234</f>
        <v>0.2802254257869664</v>
      </c>
      <c r="W30" s="88">
        <f>(W5*1000)/64858</f>
        <v>0.18501958123901446</v>
      </c>
      <c r="X30" s="88">
        <f>(X5*1000)/64529</f>
        <v>0.20145980876815076</v>
      </c>
      <c r="Y30" s="88">
        <f>(Y5*1000)/64817</f>
        <v>0.20056466667695202</v>
      </c>
      <c r="Z30" s="88">
        <f>(Z5*1000)/62338</f>
        <v>0.2727068561711957</v>
      </c>
      <c r="AA30" s="88">
        <f>(AA5*1000)/61460</f>
        <v>0.26033192320208265</v>
      </c>
      <c r="AB30" s="80">
        <f>(AB5*1000)/60921</f>
        <v>0.14773230905599055</v>
      </c>
    </row>
    <row r="31" spans="2:28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89">
        <f>(U6*1000)/78990</f>
        <v>0.7469299911381188</v>
      </c>
      <c r="V31" s="89">
        <f>(V6*1000)/80446</f>
        <v>0.6091042438405887</v>
      </c>
      <c r="W31" s="89">
        <f>(W6*1000)/80857</f>
        <v>0.63074316385718</v>
      </c>
      <c r="X31" s="89">
        <f>(X6*1000)/80752</f>
        <v>0.6687140875767783</v>
      </c>
      <c r="Y31" s="89">
        <f>(Y6*1000)/80324</f>
        <v>0.4730840097604701</v>
      </c>
      <c r="Z31" s="89">
        <f>(Z6*1000)/77071</f>
        <v>0.4671017633091565</v>
      </c>
      <c r="AA31" s="89">
        <f>(AA6*1000)/76665</f>
        <v>0.5869692819409118</v>
      </c>
      <c r="AB31" s="81">
        <f>(AB6*1000)/75511</f>
        <v>0.4370224205744858</v>
      </c>
    </row>
    <row r="32" spans="2:28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89">
        <f>(U7*1000)/81902</f>
        <v>0.04883885619398794</v>
      </c>
      <c r="V32" s="89">
        <f>(V7*1000)/81404</f>
        <v>0.11055967765711759</v>
      </c>
      <c r="W32" s="89">
        <f>(W7*1000)/80604</f>
        <v>0.0868443253436554</v>
      </c>
      <c r="X32" s="89">
        <f>(X7*1000)/80529</f>
        <v>0.08692520706826112</v>
      </c>
      <c r="Y32" s="89">
        <f>(Y7*1000)/80921</f>
        <v>0.08650412130349353</v>
      </c>
      <c r="Z32" s="89">
        <f>(Z7*1000)/80635</f>
        <v>0.07440937558132325</v>
      </c>
      <c r="AA32" s="89">
        <f>(AA7*1000)/81232</f>
        <v>0.061552097695489465</v>
      </c>
      <c r="AB32" s="81">
        <f>(AB7*1000)/81049</f>
        <v>0.09870572123036682</v>
      </c>
    </row>
    <row r="33" spans="2:28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89">
        <f>(U8*1000)/88143</f>
        <v>0.03403560123889589</v>
      </c>
      <c r="V33" s="89">
        <f>(V8*1000)/87937</f>
        <v>0.09097422018035639</v>
      </c>
      <c r="W33" s="89">
        <f>(W8*1000)/87021</f>
        <v>0.11491479068270877</v>
      </c>
      <c r="X33" s="89">
        <f>(X8*1000)/85924</f>
        <v>0.08146734323355523</v>
      </c>
      <c r="Y33" s="89">
        <f>(Y8*1000)/84673</f>
        <v>0.0944811214909121</v>
      </c>
      <c r="Z33" s="89">
        <f>(Z8*1000)/82836</f>
        <v>0.09657636776280844</v>
      </c>
      <c r="AA33" s="89">
        <f>(AA8*1000)/81954</f>
        <v>0.03660590087122044</v>
      </c>
      <c r="AB33" s="81">
        <f>(AB8*1000)/81040</f>
        <v>0.012339585389930898</v>
      </c>
    </row>
    <row r="34" spans="2:28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89">
        <f>(U9*1000)/90045</f>
        <v>0.23321672497084792</v>
      </c>
      <c r="V34" s="89">
        <f>(V9*1000)/91677</f>
        <v>0.20724936461707952</v>
      </c>
      <c r="W34" s="89">
        <f>(W9*1000)/90969</f>
        <v>0.16489133660917454</v>
      </c>
      <c r="X34" s="89">
        <f>(X9*1000)/89612</f>
        <v>0.20086595545239477</v>
      </c>
      <c r="Y34" s="89">
        <f>(Y9*1000)/87849</f>
        <v>0.15936436385160901</v>
      </c>
      <c r="Z34" s="89">
        <f>(Z9*1000)/84541</f>
        <v>0.20108586366378445</v>
      </c>
      <c r="AA34" s="89">
        <f>(AA9*1000)/86055</f>
        <v>0.1975480797164604</v>
      </c>
      <c r="AB34" s="81">
        <f>(AB9*1000)/85648</f>
        <v>0.12843265458621334</v>
      </c>
    </row>
    <row r="35" spans="2:28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89">
        <f>(U10*1000)/82210</f>
        <v>0.42573896119693466</v>
      </c>
      <c r="V35" s="89">
        <f>(V10*1000)/81307</f>
        <v>0.40586911336047327</v>
      </c>
      <c r="W35" s="89">
        <f>(W10*1000)/79750</f>
        <v>0.4263322884012539</v>
      </c>
      <c r="X35" s="89">
        <f>(X10*1000)/79253</f>
        <v>0.3280632909795213</v>
      </c>
      <c r="Y35" s="89">
        <f>(Y10*1000)/76099</f>
        <v>0.3416602057845701</v>
      </c>
      <c r="Z35" s="89">
        <f>(Z10*1000)/73210</f>
        <v>0.355142740062833</v>
      </c>
      <c r="AA35" s="89">
        <f>(AA10*1000)/73385</f>
        <v>0.3679225999863732</v>
      </c>
      <c r="AB35" s="81">
        <f>(AB10*1000)/72974</f>
        <v>0.4111053251843122</v>
      </c>
    </row>
    <row r="36" spans="2:28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89">
        <f>(U11*1000)/93723</f>
        <v>0.4374593216179593</v>
      </c>
      <c r="V36" s="89">
        <f>(V11*1000)/94560</f>
        <v>0.47588832487309646</v>
      </c>
      <c r="W36" s="89">
        <f>(W11*1000)/91806</f>
        <v>0.4901640415659107</v>
      </c>
      <c r="X36" s="89">
        <f>(X11*1000)/88737</f>
        <v>0.45077025367096024</v>
      </c>
      <c r="Y36" s="89">
        <f>(Y11*1000)/83551</f>
        <v>0.44284329331785377</v>
      </c>
      <c r="Z36" s="89">
        <f>(Z11*1000)/82028</f>
        <v>0.32915589798605355</v>
      </c>
      <c r="AA36" s="89">
        <f>(AA11*1000)/80660</f>
        <v>0.4339201586908009</v>
      </c>
      <c r="AB36" s="81">
        <f>(AB11*1000)/77944</f>
        <v>0.47469978446063843</v>
      </c>
    </row>
    <row r="37" spans="2:28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89">
        <f>(U12*1000)/103869</f>
        <v>0.616160740933291</v>
      </c>
      <c r="V37" s="89">
        <f>(V12*1000)/103255</f>
        <v>0.5229770955401676</v>
      </c>
      <c r="W37" s="89">
        <f>(W12*1000)/101289</f>
        <v>0.5528734610865939</v>
      </c>
      <c r="X37" s="89">
        <f>(X12*1000)/99342</f>
        <v>0.5033117915886534</v>
      </c>
      <c r="Y37" s="89">
        <f>(Y12*1000)/98755</f>
        <v>0.4860513391727001</v>
      </c>
      <c r="Z37" s="89">
        <f>(Z12*1000)/95470</f>
        <v>0.6075206871268461</v>
      </c>
      <c r="AA37" s="89">
        <f>(AA12*1000)/95548</f>
        <v>0.5023653033030518</v>
      </c>
      <c r="AB37" s="81">
        <f>(AB12*1000)/93270</f>
        <v>0.43958400343089954</v>
      </c>
    </row>
    <row r="38" spans="2:28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89">
        <f>(U13*1000)/111303</f>
        <v>0.6738362847362604</v>
      </c>
      <c r="V38" s="89">
        <f>(V13*1000)/114287</f>
        <v>0.9274895657423854</v>
      </c>
      <c r="W38" s="89">
        <f>(W13*1000)/113594</f>
        <v>0.7130658309417751</v>
      </c>
      <c r="X38" s="89">
        <f>(X13*1000)/111613</f>
        <v>0.6540456756829401</v>
      </c>
      <c r="Y38" s="89">
        <f>(Y13*1000)/109280</f>
        <v>0.6954612005856515</v>
      </c>
      <c r="Z38" s="89">
        <f>(Z13*1000)/105461</f>
        <v>0.7585742596789334</v>
      </c>
      <c r="AA38" s="89">
        <f>(AA13*1000)/104288</f>
        <v>0.7191623197299786</v>
      </c>
      <c r="AB38" s="81">
        <f>(AB13*1000)/102433</f>
        <v>0.5174113810978884</v>
      </c>
    </row>
    <row r="39" spans="2:28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89">
        <f>(U14*1000)/102693</f>
        <v>1.2269580205077268</v>
      </c>
      <c r="V39" s="89">
        <f>(V14*1000)/107823</f>
        <v>1.196405219665563</v>
      </c>
      <c r="W39" s="89">
        <f>(W14*1000)/107864</f>
        <v>1.1403248535192465</v>
      </c>
      <c r="X39" s="89">
        <f>(X14*1000)/109978</f>
        <v>0.9638291294622561</v>
      </c>
      <c r="Y39" s="89">
        <f>(Y14*1000)/112484</f>
        <v>0.8979054798904733</v>
      </c>
      <c r="Z39" s="89">
        <f>(Z14*1000)/112453</f>
        <v>0.9604012342934382</v>
      </c>
      <c r="AA39" s="89">
        <f>(AA14*1000)/114875</f>
        <v>1.001088139281828</v>
      </c>
      <c r="AB39" s="81">
        <f>(AB14*1000)/113934</f>
        <v>1.0181333052468973</v>
      </c>
    </row>
    <row r="40" spans="2:28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89">
        <f>(U15*1000)/108344</f>
        <v>1.8459720889020157</v>
      </c>
      <c r="V40" s="89">
        <f>(V15*1000)/105517</f>
        <v>1.810134859785627</v>
      </c>
      <c r="W40" s="89">
        <f>(W15*1000)/106108</f>
        <v>1.7152335356429298</v>
      </c>
      <c r="X40" s="89">
        <f>(X15*1000)/105843</f>
        <v>1.6250484207741656</v>
      </c>
      <c r="Y40" s="89">
        <f>(Y15*1000)/105423</f>
        <v>1.7832920709902014</v>
      </c>
      <c r="Z40" s="89">
        <f>(Z15*1000)/102699</f>
        <v>1.6747972229525117</v>
      </c>
      <c r="AA40" s="89">
        <f>(AA15*1000)/107337</f>
        <v>1.546531019126676</v>
      </c>
      <c r="AB40" s="81">
        <f>(AB15*1000)/107496</f>
        <v>1.4977301480985339</v>
      </c>
    </row>
    <row r="41" spans="2:28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89">
        <f>(U16*1000)/118244</f>
        <v>3.0276377659754408</v>
      </c>
      <c r="V41" s="89">
        <f>(V16*1000)/116112</f>
        <v>2.773184511506132</v>
      </c>
      <c r="W41" s="89">
        <f>(W16*1000)/114295</f>
        <v>2.7035303381600246</v>
      </c>
      <c r="X41" s="89">
        <f>(X16*1000)/111985</f>
        <v>2.473545564138054</v>
      </c>
      <c r="Y41" s="89">
        <f>(Y16*1000)/109344</f>
        <v>2.4692712906057945</v>
      </c>
      <c r="Z41" s="89">
        <f>(Z16*1000)/107623</f>
        <v>2.4715906451223253</v>
      </c>
      <c r="AA41" s="89">
        <f>(AA16*1000)/104189</f>
        <v>2.6106402787242415</v>
      </c>
      <c r="AB41" s="81">
        <f>(AB16*1000)/104940</f>
        <v>2.086906803887936</v>
      </c>
    </row>
    <row r="42" spans="2:28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89">
        <f>(U17*1000)/134198</f>
        <v>4.6200390467816215</v>
      </c>
      <c r="V42" s="89">
        <f>(V17*1000)/131817</f>
        <v>4.240727675489504</v>
      </c>
      <c r="W42" s="89">
        <f>(W17*1000)/126859</f>
        <v>4.106921858125951</v>
      </c>
      <c r="X42" s="89">
        <f>(X17*1000)/123337</f>
        <v>3.875560456310758</v>
      </c>
      <c r="Y42" s="89">
        <f>(Y17*1000)/121551</f>
        <v>3.8255547054322876</v>
      </c>
      <c r="Z42" s="89">
        <f>(Z17*1000)/117383</f>
        <v>3.6121073750031947</v>
      </c>
      <c r="AA42" s="89">
        <f>(AA17*1000)/115042</f>
        <v>3.34660384902905</v>
      </c>
      <c r="AB42" s="81">
        <f>(AB17*1000)/113226</f>
        <v>3.5857488562697615</v>
      </c>
    </row>
    <row r="43" spans="2:28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89">
        <f>(U18*1000)/138552</f>
        <v>6.07714071251227</v>
      </c>
      <c r="V43" s="89">
        <f>(V18*1000)/150456</f>
        <v>5.908704205880789</v>
      </c>
      <c r="W43" s="89">
        <f>(W18*1000)/149147</f>
        <v>6.329326101094893</v>
      </c>
      <c r="X43" s="89">
        <f>(X18*1000)/145235</f>
        <v>5.845698350948463</v>
      </c>
      <c r="Y43" s="89">
        <f>(Y18*1000)/138646</f>
        <v>6.123508792175757</v>
      </c>
      <c r="Z43" s="89">
        <f>(Z18*1000)/133649</f>
        <v>5.5294091238991685</v>
      </c>
      <c r="AA43" s="89">
        <f>(AA18*1000)/130623</f>
        <v>5.779992803717569</v>
      </c>
      <c r="AB43" s="81">
        <f>(AB18*1000)/125582</f>
        <v>5.613861859183641</v>
      </c>
    </row>
    <row r="44" spans="2:28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89">
        <f>(U19*1000)/106274</f>
        <v>9.014434386585618</v>
      </c>
      <c r="V44" s="89">
        <f>(V19*1000)/101814</f>
        <v>9.114660066395585</v>
      </c>
      <c r="W44" s="89">
        <f>(W19*1000)/108305</f>
        <v>9.233184063524307</v>
      </c>
      <c r="X44" s="89">
        <f>(X19*1000)/116970</f>
        <v>8.130289817902026</v>
      </c>
      <c r="Y44" s="89">
        <f>(Y19*1000)/125645</f>
        <v>8.834414421584624</v>
      </c>
      <c r="Z44" s="89">
        <f>(Z19*1000)/135616</f>
        <v>8.50932043416706</v>
      </c>
      <c r="AA44" s="89">
        <f>(AA19*1000)/146776</f>
        <v>8.795715920858996</v>
      </c>
      <c r="AB44" s="81">
        <f>(AB19*1000)/145667</f>
        <v>8.87640989379887</v>
      </c>
    </row>
    <row r="45" spans="2:28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89">
        <f>(U20*1000)/102470</f>
        <v>13.701571191568265</v>
      </c>
      <c r="V45" s="89">
        <f>(V20*1000)/103490</f>
        <v>14.02067832640835</v>
      </c>
      <c r="W45" s="89">
        <f>(W20*1000)/102273</f>
        <v>13.747518895505168</v>
      </c>
      <c r="X45" s="89">
        <f>(X20*1000)/102223</f>
        <v>12.971640433170617</v>
      </c>
      <c r="Y45" s="89">
        <f>(Y20*1000)/104042</f>
        <v>13.042809634570654</v>
      </c>
      <c r="Z45" s="89">
        <f>(Z20*1000)/101326</f>
        <v>13.816789372915146</v>
      </c>
      <c r="AA45" s="89">
        <f>(AA20*1000)/96911</f>
        <v>12.784926375746819</v>
      </c>
      <c r="AB45" s="81">
        <f>(AB20*1000)/103050</f>
        <v>12.906356137797186</v>
      </c>
    </row>
    <row r="46" spans="2:28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89">
        <f>(U21*1000)/99222</f>
        <v>23.31136239946786</v>
      </c>
      <c r="V46" s="89">
        <f>(V21*1000)/99997</f>
        <v>25.280758422752683</v>
      </c>
      <c r="W46" s="89">
        <f>(W21*1000)/100157</f>
        <v>24.072206635582138</v>
      </c>
      <c r="X46" s="89">
        <f>(X21*1000)/98542</f>
        <v>23.30985772563983</v>
      </c>
      <c r="Y46" s="89">
        <f>(Y21*1000)/95887</f>
        <v>22.307507795634443</v>
      </c>
      <c r="Z46" s="89">
        <f>(Z21*1000)/94349</f>
        <v>22.28958441530912</v>
      </c>
      <c r="AA46" s="89">
        <f>(AA21*1000)/95252</f>
        <v>21.97329189938269</v>
      </c>
      <c r="AB46" s="81">
        <f>(AB21*1000)/94171</f>
        <v>21.291055632838134</v>
      </c>
    </row>
    <row r="47" spans="2:28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89">
        <f>(U22*1000)/79040</f>
        <v>44.395242914979754</v>
      </c>
      <c r="V47" s="89">
        <f>(V22*1000)/80762</f>
        <v>43.93155196750947</v>
      </c>
      <c r="W47" s="89">
        <f>(W22*1000)/82163</f>
        <v>44.582111169261104</v>
      </c>
      <c r="X47" s="89">
        <f>(X22*1000)/83449</f>
        <v>42.385169384893764</v>
      </c>
      <c r="Y47" s="89">
        <f>(Y22*1000)/83667</f>
        <v>42.02373695722328</v>
      </c>
      <c r="Z47" s="89">
        <f>(Z22*1000)/84715</f>
        <v>41.44484447854571</v>
      </c>
      <c r="AA47" s="89">
        <f>(AA22*1000)/85426</f>
        <v>40.63165780909793</v>
      </c>
      <c r="AB47" s="81">
        <f>(AB22*1000)/86025</f>
        <v>39.23278116826504</v>
      </c>
    </row>
    <row r="48" spans="2:28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0">
        <f>(U23*1000)/75255</f>
        <v>114.05222244369145</v>
      </c>
      <c r="V48" s="90">
        <f>(V23*1000)/79841</f>
        <v>114.47752407910723</v>
      </c>
      <c r="W48" s="90">
        <f>(W23*1000)/84140</f>
        <v>115.36724506774424</v>
      </c>
      <c r="X48" s="90">
        <f>(X23*1000)/88171</f>
        <v>113.0643862494471</v>
      </c>
      <c r="Y48" s="90">
        <f>(Y23*1000)/90989</f>
        <v>112.22235654859378</v>
      </c>
      <c r="Z48" s="90">
        <f>(Z23*1000)/94439</f>
        <v>111.77585531401222</v>
      </c>
      <c r="AA48" s="90">
        <f>(AA23*1000)/98320</f>
        <v>115.30716029292107</v>
      </c>
      <c r="AB48" s="82">
        <f>(AB23*1000)/101558</f>
        <v>115.83528624037496</v>
      </c>
    </row>
    <row r="49" spans="2:28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89">
        <f>(U24*1000)/47414</f>
        <v>79.09056396844814</v>
      </c>
      <c r="V49" s="89">
        <f>(V24*1000)/50651</f>
        <v>77.6687528380486</v>
      </c>
      <c r="W49" s="89">
        <f>(W24*1000)/53238</f>
        <v>80.86329313648146</v>
      </c>
      <c r="X49" s="89">
        <f>(X24*1000)/55466</f>
        <v>78.02978401182706</v>
      </c>
      <c r="Y49" s="89">
        <f>(Y24*1000)/56938</f>
        <v>78.04980856370086</v>
      </c>
      <c r="Z49" s="89">
        <f>(Z24*1000)/58346</f>
        <v>77.45175333356185</v>
      </c>
      <c r="AA49" s="89">
        <f>(AA24*1000)/59846</f>
        <v>77.0644654613508</v>
      </c>
      <c r="AB49" s="81">
        <f>(AB24*1000)/61010</f>
        <v>78.57728241271923</v>
      </c>
    </row>
    <row r="50" spans="2:28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89">
        <f>(U25*1000)/20821</f>
        <v>140.38710916862783</v>
      </c>
      <c r="V50" s="89">
        <f>(V25*1000)/21808</f>
        <v>142.012105649303</v>
      </c>
      <c r="W50" s="89">
        <f>(W25*1000)/23000</f>
        <v>143.2608695652174</v>
      </c>
      <c r="X50" s="89">
        <f>(X25*1000)/24467</f>
        <v>139.08529856541463</v>
      </c>
      <c r="Y50" s="89">
        <f>(Y25*1000)/25782</f>
        <v>138.7014195950663</v>
      </c>
      <c r="Z50" s="89">
        <f>(Z25*1000)/27165</f>
        <v>136.0206147616418</v>
      </c>
      <c r="AA50" s="89">
        <f>(AA25*1000)/29196</f>
        <v>142.86203589532812</v>
      </c>
      <c r="AB50" s="81">
        <f>(AB25*1000)/30865</f>
        <v>135.78486959339057</v>
      </c>
    </row>
    <row r="51" spans="2:28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89">
        <f>(U26*1000)/6050</f>
        <v>254.71074380165288</v>
      </c>
      <c r="V51" s="89">
        <f>(V26*1000)/6402</f>
        <v>255.07653858169323</v>
      </c>
      <c r="W51" s="89">
        <f>(W26*1000)/6847</f>
        <v>247.2615744121513</v>
      </c>
      <c r="X51" s="89">
        <f>(X26*1000)/7133</f>
        <v>243.93663255292304</v>
      </c>
      <c r="Y51" s="89">
        <f>(Y26*1000)/7105</f>
        <v>236.87543983110484</v>
      </c>
      <c r="Z51" s="89">
        <f>(Z26*1000)/7593</f>
        <v>241.8016594231529</v>
      </c>
      <c r="AA51" s="89">
        <f>(AA26*1000)/7929</f>
        <v>247.82444192205827</v>
      </c>
      <c r="AB51" s="81">
        <f>(AB26*1000)/8327</f>
        <v>261.55878467635404</v>
      </c>
    </row>
    <row r="52" spans="2:28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1">
        <f>(U27*1000)/970</f>
        <v>380.41237113402065</v>
      </c>
      <c r="V52" s="91">
        <f>(V27*1000)/980</f>
        <v>485.7142857142857</v>
      </c>
      <c r="W52" s="91">
        <f>(W27*1000)/1055</f>
        <v>392.41706161137444</v>
      </c>
      <c r="X52" s="91">
        <f>(X27*1000)/1105</f>
        <v>450.6787330316742</v>
      </c>
      <c r="Y52" s="91">
        <f>(Y27*1000)/1164</f>
        <v>436.426116838488</v>
      </c>
      <c r="Z52" s="91">
        <f>(Z27*1000)/1335</f>
        <v>379.0262172284644</v>
      </c>
      <c r="AA52" s="91">
        <f>(AA27*1000)/1349</f>
        <v>436.61971830985914</v>
      </c>
      <c r="AB52" s="83">
        <f>(AB27*1000)/1356</f>
        <v>443.2153392330383</v>
      </c>
    </row>
    <row r="53" ht="21.75" customHeight="1">
      <c r="B53" s="1" t="s">
        <v>38</v>
      </c>
    </row>
    <row r="54" ht="21.75" customHeight="1">
      <c r="B54" s="1" t="s">
        <v>47</v>
      </c>
    </row>
  </sheetData>
  <sheetProtection/>
  <printOptions/>
  <pageMargins left="0.7874015748031497" right="0.35433070866141736" top="0.7874015748031497" bottom="0.7874015748031497" header="0.5118110236220472" footer="0.5118110236220472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2018-12-17T00:02:20Z</cp:lastPrinted>
  <dcterms:created xsi:type="dcterms:W3CDTF">1997-01-17T02:23:04Z</dcterms:created>
  <dcterms:modified xsi:type="dcterms:W3CDTF">2018-12-17T00:25:52Z</dcterms:modified>
  <cp:category/>
  <cp:version/>
  <cp:contentType/>
  <cp:contentStatus/>
</cp:coreProperties>
</file>